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ed example" sheetId="1" state="visible" r:id="rId3"/>
    <sheet name="Your programm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Keystone</author>
  </authors>
  <commentList>
    <comment ref="B5" authorId="0">
      <text>
        <r>
          <rPr>
            <sz val="10"/>
            <rFont val="Arial"/>
            <family val="2"/>
          </rPr>
          <t xml:space="preserve">Small 2,000 / Medium 4,500 / Large 8,000 — or override with custom value</t>
        </r>
      </text>
    </comment>
    <comment ref="B6" authorId="0">
      <text>
        <r>
          <rPr>
            <sz val="10"/>
            <rFont val="Arial"/>
            <family val="2"/>
          </rPr>
          <t xml:space="preserve">ERP only = 1.00; ERP + CRM = 1.25</t>
        </r>
      </text>
    </comment>
    <comment ref="B7" authorId="0">
      <text>
        <r>
          <rPr>
            <sz val="10"/>
            <rFont val="Arial"/>
            <family val="2"/>
          </rPr>
          <t xml:space="preserve">Light 0.90 / Moderate 1.00 / Heavy 1.15</t>
        </r>
      </text>
    </comment>
    <comment ref="B8" authorId="0">
      <text>
        <r>
          <rPr>
            <sz val="10"/>
            <rFont val="Arial"/>
            <family val="2"/>
          </rPr>
          <t xml:space="preserve">Conservative 0.85 / Market 1.00 / Premium 1.15</t>
        </r>
      </text>
    </comment>
  </commentList>
</comments>
</file>

<file path=xl/sharedStrings.xml><?xml version="1.0" encoding="utf-8"?>
<sst xmlns="http://schemas.openxmlformats.org/spreadsheetml/2006/main" count="216" uniqueCount="134">
  <si>
    <t xml:space="preserve">Funding Envelope Estimator (Stage 6) — Worked Example</t>
  </si>
  <si>
    <t xml:space="preserve">AcmeWidget Ltd — Medium programme, ERP only, 16 months, Market rates, Moderate customisation</t>
  </si>
  <si>
    <t xml:space="preserve">A. Input parameters</t>
  </si>
  <si>
    <t xml:space="preserve">Programme size</t>
  </si>
  <si>
    <t xml:space="preserve">Medium (4,500 days mid-point)</t>
  </si>
  <si>
    <t xml:space="preserve">Pillars</t>
  </si>
  <si>
    <t xml:space="preserve">ERP only (×1.00)</t>
  </si>
  <si>
    <t xml:space="preserve">Duration</t>
  </si>
  <si>
    <t xml:space="preserve">16 months</t>
  </si>
  <si>
    <t xml:space="preserve">Rate posture</t>
  </si>
  <si>
    <t xml:space="preserve">Market (Senior £1,100 / Lead £800 / Specialist £650)</t>
  </si>
  <si>
    <t xml:space="preserve">Customisation</t>
  </si>
  <si>
    <t xml:space="preserve">Moderate (×1.00 effort)</t>
  </si>
  <si>
    <t xml:space="preserve">B. Role-mix breakdown</t>
  </si>
  <si>
    <t xml:space="preserve">Role group</t>
  </si>
  <si>
    <t xml:space="preserve">Effort %</t>
  </si>
  <si>
    <t xml:space="preserve">Days</t>
  </si>
  <si>
    <t xml:space="preserve">Rate tier</t>
  </si>
  <si>
    <t xml:space="preserve">Day rate</t>
  </si>
  <si>
    <t xml:space="preserve">Cost</t>
  </si>
  <si>
    <t xml:space="preserve">Programme Director / Programme Manager</t>
  </si>
  <si>
    <t xml:space="preserve">Senior</t>
  </si>
  <si>
    <t xml:space="preserve">Project Managers</t>
  </si>
  <si>
    <t xml:space="preserve">Lead</t>
  </si>
  <si>
    <t xml:space="preserve">Solution Architects</t>
  </si>
  <si>
    <t xml:space="preserve">Functional Consultants</t>
  </si>
  <si>
    <t xml:space="preserve">Developers</t>
  </si>
  <si>
    <t xml:space="preserve">Specialist</t>
  </si>
  <si>
    <t xml:space="preserve">Test team</t>
  </si>
  <si>
    <t xml:space="preserve">Data team</t>
  </si>
  <si>
    <t xml:space="preserve">Change &amp; Training</t>
  </si>
  <si>
    <t xml:space="preserve">Cutover &amp; Hypercare</t>
  </si>
  <si>
    <t xml:space="preserve">Subtotal</t>
  </si>
  <si>
    <t xml:space="preserve">—</t>
  </si>
  <si>
    <t xml:space="preserve">Contingency (10%)</t>
  </si>
  <si>
    <t xml:space="preserve">Total (mid-point)</t>
  </si>
  <si>
    <t xml:space="preserve">C. Envelope range (±30–40%)</t>
  </si>
  <si>
    <t xml:space="preserve">Low (×0.625)</t>
  </si>
  <si>
    <t xml:space="preserve">Mid-point</t>
  </si>
  <si>
    <t xml:space="preserve">High (×1.375)</t>
  </si>
  <si>
    <t xml:space="preserve">Reported envelope</t>
  </si>
  <si>
    <t xml:space="preserve">£2.5m – £5.5m</t>
  </si>
  <si>
    <t xml:space="preserve">Envelope basis: programme team &amp; SI implementation (the contracted delivery team, at blended day-rates)</t>
  </si>
  <si>
    <t xml:space="preserve">D. Headcount sanity-check</t>
  </si>
  <si>
    <t xml:space="preserve">Duration (months)</t>
  </si>
  <si>
    <t xml:space="preserve">Working days/month</t>
  </si>
  <si>
    <t xml:space="preserve">Implied FTE</t>
  </si>
  <si>
    <t xml:space="preserve">E. Citation</t>
  </si>
  <si>
    <t xml:space="preserve">Rates published May 2026, reviewed periodically. Derived from IT Jobs Watch UK contract median day-rates for Programme Manager, Solution Architect, Functional Consultant and Developer roles, cross-referenced with Hays Salary Guide and Free-Work, and adjusted for senior D365 programme delivery context based on practitioner experience.</t>
  </si>
  <si>
    <t xml:space="preserve">F. Caveat</t>
  </si>
  <si>
    <t xml:space="preserve">Headcount is indicative. Some roles (e.g. 1 Business Architect per workstream, 1 SI Functional Lead per workstream) are fixed-per-workstream in practice and don't scale linearly with programme size.</t>
  </si>
  <si>
    <t xml:space="preserve">G. Wider programme costs — outside the envelope (illustrative, verify with vendor)</t>
  </si>
  <si>
    <t xml:space="preserve">Indicative software subscription (Microsoft Dynamics 365, 600 users, 25% on full licences)</t>
  </si>
  <si>
    <t xml:space="preserve">  Annual range (low)</t>
  </si>
  <si>
    <t xml:space="preserve">  Annual range (high)</t>
  </si>
  <si>
    <t xml:space="preserve">  Over 5 years (low)</t>
  </si>
  <si>
    <t xml:space="preserve">  Over 5 years (high)</t>
  </si>
  <si>
    <t xml:space="preserve">  Basis: D365 medium band — Full £130–170, Team Member £6–10 per user/month</t>
  </si>
  <si>
    <t xml:space="preserve">H. Indicative 5-year cost — implementation + software</t>
  </si>
  <si>
    <t xml:space="preserve">  Low</t>
  </si>
  <si>
    <t xml:space="preserve">  High</t>
  </si>
  <si>
    <t xml:space="preserve">  Excludes infrastructure and internal client cost. Not a full total cost of ownership.</t>
  </si>
  <si>
    <t xml:space="preserve">I. Internal secondment &amp; backfill — profile-derived (Medium: 6 Process Owners @ ~40% + 7 SMEs @ ~20% + 1 Business Architect ≈ 4.8 FTE)</t>
  </si>
  <si>
    <t xml:space="preserve">  4.8 FTE × £450/day × 309 working days</t>
  </si>
  <si>
    <t xml:space="preserve">  Posture: costed and covered — backfill goes into the funding ask as its own line. If absorbed internally instead: ~4.8 FTE of day jobs carried with no cover — a delivery risk the board accepts explicitly, not a saving. Count only materially-seconded roles; half a role or less is usually absorbed.</t>
  </si>
  <si>
    <t xml:space="preserve">J. Also budget separately (not estimated)</t>
  </si>
  <si>
    <t xml:space="preserve">  Infrastructure / hosting + paid vendor service tiers; internal client team's own time; integration tooling; optimisation backlog.</t>
  </si>
  <si>
    <t xml:space="preserve">  ERP + CRM adds its own user licences (e.g. D365 Customer Engagement) — not modelled; priced at Software Selection (S8).</t>
  </si>
  <si>
    <t xml:space="preserve">K. Delivery cost split (of the role-mix subtotal £3,654,000)</t>
  </si>
  <si>
    <t xml:space="preserve">  SI implementation</t>
  </si>
  <si>
    <t xml:space="preserve">  Programme team</t>
  </si>
  <si>
    <t xml:space="preserve">  Indicative split — mixed roles shown on their predominant side.</t>
  </si>
  <si>
    <t xml:space="preserve">Working-days basis: 19.3/month (net of annual leave &amp; public holidays, ~232/yr — not the ~260 gross).</t>
  </si>
  <si>
    <t xml:space="preserve">L. Indicative return — illustrative (your benefit, not the vendor's return)</t>
  </si>
  <si>
    <t xml:space="preserve">  Break-even annual benefit (to cover 5-yr cost)</t>
  </si>
  <si>
    <t xml:space="preserve">  Illustrative annual benefit (example — replace with yours)</t>
  </si>
  <si>
    <t xml:space="preserve">  5-year ROI %</t>
  </si>
  <si>
    <t xml:space="preserve">  Net over 5 years</t>
  </si>
  <si>
    <t xml:space="preserve">  Simple payback (years)</t>
  </si>
  <si>
    <t xml:space="preserve">  Based on your Benefits Map (S2), not vendor returns. Benefits ramp after go-live; firmed at the Full Business Case (S12).</t>
  </si>
  <si>
    <t xml:space="preserve">Funding Envelope Estimator (Stage 6) — Your Programme</t>
  </si>
  <si>
    <t xml:space="preserve">Yellow cells are inputs. Adjust to size your own programme. All other cells are formula-driven.</t>
  </si>
  <si>
    <t xml:space="preserve">Programme size — mid-point (days)</t>
  </si>
  <si>
    <t xml:space="preserve">Pillars multiplier</t>
  </si>
  <si>
    <t xml:space="preserve">Customisation multiplier</t>
  </si>
  <si>
    <t xml:space="preserve">Rate posture multiplier</t>
  </si>
  <si>
    <t xml:space="preserve">Total effort (days) — derived</t>
  </si>
  <si>
    <t xml:space="preserve">Base day-rates (Market)</t>
  </si>
  <si>
    <t xml:space="preserve">Envelope basis: programme team &amp; SI implementation (the contracted delivery team)</t>
  </si>
  <si>
    <t xml:space="preserve">G. Wider programme costs — software (illustrative; enter bands for your platform/size)</t>
  </si>
  <si>
    <t xml:space="preserve">Users / employees</t>
  </si>
  <si>
    <t xml:space="preserve">Share on full licences</t>
  </si>
  <si>
    <t xml:space="preserve">Full licence £/user/month — low</t>
  </si>
  <si>
    <t xml:space="preserve">Full licence £/user/month — high</t>
  </si>
  <si>
    <t xml:space="preserve">Light licence £/user/month — low</t>
  </si>
  <si>
    <t xml:space="preserve">Light licence £/user/month — high</t>
  </si>
  <si>
    <t xml:space="preserve">  (D365 Full: small £150–200 / medium £130–170 / large £100–140; Team Member £6–10. SAP/Oracle/Workday per Vendor &amp; Platform tab.)</t>
  </si>
  <si>
    <t xml:space="preserve">Software annual — low</t>
  </si>
  <si>
    <t xml:space="preserve">Software annual — high</t>
  </si>
  <si>
    <t xml:space="preserve">Software 5-year — low</t>
  </si>
  <si>
    <t xml:space="preserve">Software 5-year — high</t>
  </si>
  <si>
    <t xml:space="preserve">Low</t>
  </si>
  <si>
    <t xml:space="preserve">High</t>
  </si>
  <si>
    <t xml:space="preserve">  Excludes infrastructure + internal client cost. Not a full TCO.</t>
  </si>
  <si>
    <t xml:space="preserve">I. Internal secondment &amp; backfill — profile-derived (see section M below)</t>
  </si>
  <si>
    <t xml:space="preserve">Internal FTE seconded (suggested from section M — overtype with your own count)</t>
  </si>
  <si>
    <t xml:space="preserve">Backfill day-rate (£/day)</t>
  </si>
  <si>
    <t xml:space="preserve">Working days (duration × 19.3)</t>
  </si>
  <si>
    <t xml:space="preserve">Backfill cost (contractor cover)</t>
  </si>
  <si>
    <t xml:space="preserve">  Recruitment alternative (one-off per hire): FTE × cost per hire (~£11,000). Posture and profile: section M.</t>
  </si>
  <si>
    <t xml:space="preserve">  Infrastructure/hosting + vendor service tiers; internal client team's own time; integration tooling; optimisation backlog. CRM adds its own licences (priced at S8).</t>
  </si>
  <si>
    <t xml:space="preserve">K. Delivery cost split (of the role-mix subtotal)</t>
  </si>
  <si>
    <t xml:space="preserve">Working-days basis: 19.3/month (net of leave &amp; holidays, ~232/yr — not the ~260 gross).</t>
  </si>
  <si>
    <t xml:space="preserve">5-year cost mid-point</t>
  </si>
  <si>
    <t xml:space="preserve">Break-even annual benefit</t>
  </si>
  <si>
    <t xml:space="preserve">Expected annual benefit (your figure)</t>
  </si>
  <si>
    <t xml:space="preserve">← enter your figure; leave blank for break-even only</t>
  </si>
  <si>
    <t xml:space="preserve">5-year ROI %</t>
  </si>
  <si>
    <t xml:space="preserve">Net over 5 years</t>
  </si>
  <si>
    <t xml:space="preserve">Simple payback (years)</t>
  </si>
  <si>
    <t xml:space="preserve">Replace the expected-benefit cell with your Benefits Map (S2) figure. Not a vendor projection; benefits ramp after go-live; firmed at S12.</t>
  </si>
  <si>
    <t xml:space="preserve">M. Internal secondment profile &amp; posture (canonical, 8 July 2026)</t>
  </si>
  <si>
    <t xml:space="preserve">Process Owners (count)</t>
  </si>
  <si>
    <t xml:space="preserve">  Process Owner secondment %</t>
  </si>
  <si>
    <t xml:space="preserve">SMEs (count)</t>
  </si>
  <si>
    <t xml:space="preserve">  SME secondment %</t>
  </si>
  <si>
    <t xml:space="preserve">Internal Business Architects (dedicated)</t>
  </si>
  <si>
    <t xml:space="preserve">Suggested backfill FTE</t>
  </si>
  <si>
    <t xml:space="preserve">Internal time posture — type exactly: Costed and covered / Absorbed internally</t>
  </si>
  <si>
    <t xml:space="preserve">Costed and covered</t>
  </si>
  <si>
    <t xml:space="preserve">What the posture means</t>
  </si>
  <si>
    <t xml:space="preserve">Reference profile by size: Small 3 PO @30% + 4 SME @15% + 0 BA = 1.5 · Medium 6 PO @40% + 7 SME @20% + 1 BA = 4.8 · Large 10 PO @50% + 12 SME @25% + 2 BA = 10.0</t>
  </si>
  <si>
    <t xml:space="preserve">Three pots: Exec Sponsor / Benefit Owners are never backfilled (S12 internal-time line); contracted SAs/BAs are day-rate cash, not backfill; Process Owners, SMEs and permanent BAs are the genuine backfill population.</t>
  </si>
  <si>
    <t xml:space="preserve">Board discipline: either backfill goes into the funding ask, or the board explicitly accepts the absorption risk — named, sized, minuted. Unpriced internal time is not cost-free: it surfaces as degraded BAU, overtime and benefits erosion.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</si>
</sst>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%"/>
    <numFmt numFmtId="166" formatCode="#,##0"/>
    <numFmt numFmtId="167" formatCode="\£#,##0"/>
    <numFmt numFmtId="168" formatCode="0.00"/>
    <numFmt numFmtId="169" formatCode="0\%"/>
    <numFmt numFmtId="170" formatCode="0.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i val="true"/>
      <sz val="10"/>
      <color rgb="FF6B7280"/>
      <name val="Cambria"/>
      <family val="0"/>
      <charset val="1"/>
    </font>
    <font>
      <b val="true"/>
      <sz val="10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i val="true"/>
      <sz val="11"/>
      <name val="Cambria"/>
      <family val="0"/>
      <charset val="1"/>
    </font>
    <font>
      <i val="true"/>
      <sz val="11"/>
      <name val="Cambria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74151"/>
        <bgColor rgb="FF1F2937"/>
      </patternFill>
    </fill>
    <fill>
      <patternFill patternType="solid">
        <fgColor rgb="FF1F2937"/>
        <bgColor rgb="FF333300"/>
      </patternFill>
    </fill>
    <fill>
      <patternFill patternType="solid">
        <fgColor rgb="FFF5F5F5"/>
        <bgColor rgb="FFFFFFFF"/>
      </patternFill>
    </fill>
    <fill>
      <patternFill patternType="solid">
        <fgColor rgb="FFFFE082"/>
        <bgColor rgb="FFFFF3B0"/>
      </patternFill>
    </fill>
    <fill>
      <patternFill patternType="solid">
        <fgColor rgb="FFFFF3B0"/>
        <bgColor rgb="FFFFF2CC"/>
      </patternFill>
    </fill>
    <fill>
      <patternFill patternType="solid">
        <fgColor rgb="FFFFF2CC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7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7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5F5F5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E082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74151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5"/>
    <col collapsed="false" customWidth="true" hidden="false" outlineLevel="0" max="2" min="2" style="1" width="18"/>
    <col collapsed="false" customWidth="true" hidden="false" outlineLevel="0" max="3" min="3" style="1" width="12"/>
    <col collapsed="false" customWidth="true" hidden="false" outlineLevel="0" max="6" min="4" style="1" width="14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4"/>
    </row>
    <row r="5" customFormat="false" ht="15" hidden="false" customHeight="true" outlineLevel="0" collapsed="false">
      <c r="A5" s="5" t="s">
        <v>3</v>
      </c>
      <c r="B5" s="1" t="s">
        <v>4</v>
      </c>
    </row>
    <row r="6" customFormat="false" ht="15" hidden="false" customHeight="true" outlineLevel="0" collapsed="false">
      <c r="A6" s="5" t="s">
        <v>5</v>
      </c>
      <c r="B6" s="1" t="s">
        <v>6</v>
      </c>
    </row>
    <row r="7" customFormat="false" ht="15" hidden="false" customHeight="true" outlineLevel="0" collapsed="false">
      <c r="A7" s="5" t="s">
        <v>7</v>
      </c>
      <c r="B7" s="1" t="s">
        <v>8</v>
      </c>
    </row>
    <row r="8" customFormat="false" ht="15" hidden="false" customHeight="true" outlineLevel="0" collapsed="false">
      <c r="A8" s="5" t="s">
        <v>9</v>
      </c>
      <c r="B8" s="1" t="s">
        <v>10</v>
      </c>
    </row>
    <row r="9" customFormat="false" ht="15" hidden="false" customHeight="true" outlineLevel="0" collapsed="false">
      <c r="A9" s="5" t="s">
        <v>11</v>
      </c>
      <c r="B9" s="1" t="s">
        <v>12</v>
      </c>
    </row>
    <row r="11" customFormat="false" ht="15" hidden="false" customHeight="true" outlineLevel="0" collapsed="false">
      <c r="A11" s="4" t="s">
        <v>13</v>
      </c>
      <c r="B11" s="4"/>
      <c r="C11" s="4"/>
      <c r="D11" s="4"/>
      <c r="E11" s="4"/>
      <c r="F11" s="4"/>
    </row>
    <row r="12" customFormat="false" ht="15" hidden="false" customHeight="true" outlineLevel="0" collapsed="false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</row>
    <row r="13" customFormat="false" ht="15" hidden="false" customHeight="true" outlineLevel="0" collapsed="false">
      <c r="A13" s="7" t="s">
        <v>20</v>
      </c>
      <c r="B13" s="8" t="n">
        <v>0.08</v>
      </c>
      <c r="C13" s="9" t="n">
        <v>360</v>
      </c>
      <c r="D13" s="7" t="s">
        <v>21</v>
      </c>
      <c r="E13" s="10" t="n">
        <v>1100</v>
      </c>
      <c r="F13" s="10" t="n">
        <v>396000</v>
      </c>
    </row>
    <row r="14" customFormat="false" ht="15" hidden="false" customHeight="true" outlineLevel="0" collapsed="false">
      <c r="A14" s="7" t="s">
        <v>22</v>
      </c>
      <c r="B14" s="8" t="n">
        <v>0.07</v>
      </c>
      <c r="C14" s="9" t="n">
        <v>315</v>
      </c>
      <c r="D14" s="7" t="s">
        <v>23</v>
      </c>
      <c r="E14" s="10" t="n">
        <v>800</v>
      </c>
      <c r="F14" s="10" t="n">
        <v>252000</v>
      </c>
    </row>
    <row r="15" customFormat="false" ht="15" hidden="false" customHeight="true" outlineLevel="0" collapsed="false">
      <c r="A15" s="7" t="s">
        <v>24</v>
      </c>
      <c r="B15" s="8" t="n">
        <v>0.08</v>
      </c>
      <c r="C15" s="9" t="n">
        <v>360</v>
      </c>
      <c r="D15" s="7" t="s">
        <v>21</v>
      </c>
      <c r="E15" s="10" t="n">
        <v>1100</v>
      </c>
      <c r="F15" s="10" t="n">
        <v>396000</v>
      </c>
    </row>
    <row r="16" customFormat="false" ht="15" hidden="false" customHeight="true" outlineLevel="0" collapsed="false">
      <c r="A16" s="7" t="s">
        <v>25</v>
      </c>
      <c r="B16" s="8" t="n">
        <v>0.3</v>
      </c>
      <c r="C16" s="9" t="n">
        <v>1350</v>
      </c>
      <c r="D16" s="7" t="s">
        <v>23</v>
      </c>
      <c r="E16" s="10" t="n">
        <v>800</v>
      </c>
      <c r="F16" s="10" t="n">
        <v>1080000</v>
      </c>
    </row>
    <row r="17" customFormat="false" ht="15" hidden="false" customHeight="true" outlineLevel="0" collapsed="false">
      <c r="A17" s="7" t="s">
        <v>26</v>
      </c>
      <c r="B17" s="8" t="n">
        <v>0.15</v>
      </c>
      <c r="C17" s="9" t="n">
        <v>675</v>
      </c>
      <c r="D17" s="7" t="s">
        <v>27</v>
      </c>
      <c r="E17" s="10" t="n">
        <v>650</v>
      </c>
      <c r="F17" s="10" t="n">
        <v>438750</v>
      </c>
    </row>
    <row r="18" customFormat="false" ht="15" hidden="false" customHeight="true" outlineLevel="0" collapsed="false">
      <c r="A18" s="7" t="s">
        <v>28</v>
      </c>
      <c r="B18" s="8" t="n">
        <v>0.18</v>
      </c>
      <c r="C18" s="9" t="n">
        <v>810</v>
      </c>
      <c r="D18" s="7" t="s">
        <v>23</v>
      </c>
      <c r="E18" s="10" t="n">
        <v>800</v>
      </c>
      <c r="F18" s="10" t="n">
        <v>648000</v>
      </c>
    </row>
    <row r="19" customFormat="false" ht="15" hidden="false" customHeight="true" outlineLevel="0" collapsed="false">
      <c r="A19" s="7" t="s">
        <v>29</v>
      </c>
      <c r="B19" s="8" t="n">
        <v>0.06</v>
      </c>
      <c r="C19" s="9" t="n">
        <v>270</v>
      </c>
      <c r="D19" s="7" t="s">
        <v>27</v>
      </c>
      <c r="E19" s="10" t="n">
        <v>650</v>
      </c>
      <c r="F19" s="10" t="n">
        <v>175500</v>
      </c>
    </row>
    <row r="20" customFormat="false" ht="15" hidden="false" customHeight="true" outlineLevel="0" collapsed="false">
      <c r="A20" s="7" t="s">
        <v>30</v>
      </c>
      <c r="B20" s="8" t="n">
        <v>0.05</v>
      </c>
      <c r="C20" s="9" t="n">
        <v>225</v>
      </c>
      <c r="D20" s="7" t="s">
        <v>23</v>
      </c>
      <c r="E20" s="10" t="n">
        <v>800</v>
      </c>
      <c r="F20" s="10" t="n">
        <v>180000</v>
      </c>
    </row>
    <row r="21" customFormat="false" ht="15" hidden="false" customHeight="true" outlineLevel="0" collapsed="false">
      <c r="A21" s="7" t="s">
        <v>31</v>
      </c>
      <c r="B21" s="8" t="n">
        <v>0.03</v>
      </c>
      <c r="C21" s="9" t="n">
        <v>135</v>
      </c>
      <c r="D21" s="7" t="s">
        <v>27</v>
      </c>
      <c r="E21" s="10" t="n">
        <v>650</v>
      </c>
      <c r="F21" s="10" t="n">
        <v>87750</v>
      </c>
    </row>
    <row r="22" customFormat="false" ht="15" hidden="false" customHeight="true" outlineLevel="0" collapsed="false">
      <c r="A22" s="11" t="s">
        <v>32</v>
      </c>
      <c r="B22" s="12" t="n">
        <v>1</v>
      </c>
      <c r="C22" s="13" t="n">
        <v>4500</v>
      </c>
      <c r="D22" s="14" t="s">
        <v>33</v>
      </c>
      <c r="E22" s="14" t="s">
        <v>33</v>
      </c>
      <c r="F22" s="15" t="n">
        <v>3654000</v>
      </c>
    </row>
    <row r="23" customFormat="false" ht="15" hidden="false" customHeight="true" outlineLevel="0" collapsed="false">
      <c r="A23" s="11" t="s">
        <v>34</v>
      </c>
      <c r="B23" s="14"/>
      <c r="C23" s="14"/>
      <c r="D23" s="14"/>
      <c r="E23" s="14"/>
      <c r="F23" s="15" t="n">
        <v>365400</v>
      </c>
    </row>
    <row r="24" customFormat="false" ht="15" hidden="false" customHeight="true" outlineLevel="0" collapsed="false">
      <c r="A24" s="16" t="s">
        <v>35</v>
      </c>
      <c r="B24" s="16"/>
      <c r="C24" s="16"/>
      <c r="D24" s="16"/>
      <c r="E24" s="16"/>
      <c r="F24" s="17" t="n">
        <v>4019400</v>
      </c>
    </row>
    <row r="26" customFormat="false" ht="15" hidden="false" customHeight="true" outlineLevel="0" collapsed="false">
      <c r="A26" s="4" t="s">
        <v>36</v>
      </c>
      <c r="B26" s="4"/>
    </row>
    <row r="27" customFormat="false" ht="15" hidden="false" customHeight="true" outlineLevel="0" collapsed="false">
      <c r="A27" s="5" t="s">
        <v>37</v>
      </c>
      <c r="B27" s="18" t="n">
        <v>2512125</v>
      </c>
    </row>
    <row r="28" customFormat="false" ht="15" hidden="false" customHeight="true" outlineLevel="0" collapsed="false">
      <c r="A28" s="5" t="s">
        <v>38</v>
      </c>
      <c r="B28" s="18" t="n">
        <v>4019400</v>
      </c>
    </row>
    <row r="29" customFormat="false" ht="15" hidden="false" customHeight="true" outlineLevel="0" collapsed="false">
      <c r="A29" s="5" t="s">
        <v>39</v>
      </c>
      <c r="B29" s="18" t="n">
        <v>5526675</v>
      </c>
    </row>
    <row r="30" customFormat="false" ht="15" hidden="false" customHeight="true" outlineLevel="0" collapsed="false">
      <c r="A30" s="19" t="s">
        <v>40</v>
      </c>
      <c r="B30" s="19" t="s">
        <v>41</v>
      </c>
    </row>
    <row r="31" customFormat="false" ht="15" hidden="false" customHeight="true" outlineLevel="0" collapsed="false">
      <c r="A31" s="20" t="s">
        <v>42</v>
      </c>
    </row>
    <row r="32" customFormat="false" ht="15" hidden="false" customHeight="true" outlineLevel="0" collapsed="false">
      <c r="A32" s="4" t="s">
        <v>43</v>
      </c>
      <c r="B32" s="4"/>
      <c r="C32" s="4"/>
      <c r="D32" s="4"/>
      <c r="E32" s="4"/>
    </row>
    <row r="33" customFormat="false" ht="15" hidden="false" customHeight="true" outlineLevel="0" collapsed="false">
      <c r="A33" s="6" t="s">
        <v>14</v>
      </c>
      <c r="B33" s="6" t="s">
        <v>16</v>
      </c>
      <c r="C33" s="6" t="s">
        <v>44</v>
      </c>
      <c r="D33" s="6" t="s">
        <v>45</v>
      </c>
      <c r="E33" s="6" t="s">
        <v>46</v>
      </c>
    </row>
    <row r="34" customFormat="false" ht="15" hidden="false" customHeight="true" outlineLevel="0" collapsed="false">
      <c r="A34" s="7" t="s">
        <v>20</v>
      </c>
      <c r="B34" s="9" t="n">
        <v>360</v>
      </c>
      <c r="C34" s="7" t="n">
        <v>16</v>
      </c>
      <c r="D34" s="7" t="n">
        <v>19.3</v>
      </c>
      <c r="E34" s="21" t="n">
        <v>1.17</v>
      </c>
    </row>
    <row r="35" customFormat="false" ht="15" hidden="false" customHeight="true" outlineLevel="0" collapsed="false">
      <c r="A35" s="7" t="s">
        <v>22</v>
      </c>
      <c r="B35" s="9" t="n">
        <v>315</v>
      </c>
      <c r="C35" s="7" t="n">
        <v>16</v>
      </c>
      <c r="D35" s="7" t="n">
        <v>19.3</v>
      </c>
      <c r="E35" s="21" t="n">
        <v>1.02</v>
      </c>
    </row>
    <row r="36" customFormat="false" ht="15" hidden="false" customHeight="true" outlineLevel="0" collapsed="false">
      <c r="A36" s="7" t="s">
        <v>24</v>
      </c>
      <c r="B36" s="9" t="n">
        <v>360</v>
      </c>
      <c r="C36" s="7" t="n">
        <v>16</v>
      </c>
      <c r="D36" s="7" t="n">
        <v>19.3</v>
      </c>
      <c r="E36" s="21" t="n">
        <v>1.17</v>
      </c>
    </row>
    <row r="37" customFormat="false" ht="15" hidden="false" customHeight="true" outlineLevel="0" collapsed="false">
      <c r="A37" s="7" t="s">
        <v>25</v>
      </c>
      <c r="B37" s="9" t="n">
        <v>1350</v>
      </c>
      <c r="C37" s="7" t="n">
        <v>16</v>
      </c>
      <c r="D37" s="7" t="n">
        <v>19.3</v>
      </c>
      <c r="E37" s="21" t="n">
        <v>4.37</v>
      </c>
    </row>
    <row r="38" customFormat="false" ht="15" hidden="false" customHeight="true" outlineLevel="0" collapsed="false">
      <c r="A38" s="7" t="s">
        <v>26</v>
      </c>
      <c r="B38" s="9" t="n">
        <v>675</v>
      </c>
      <c r="C38" s="7" t="n">
        <v>16</v>
      </c>
      <c r="D38" s="7" t="n">
        <v>19.3</v>
      </c>
      <c r="E38" s="21" t="n">
        <v>2.19</v>
      </c>
    </row>
    <row r="39" customFormat="false" ht="15" hidden="false" customHeight="true" outlineLevel="0" collapsed="false">
      <c r="A39" s="7" t="s">
        <v>28</v>
      </c>
      <c r="B39" s="9" t="n">
        <v>810</v>
      </c>
      <c r="C39" s="7" t="n">
        <v>16</v>
      </c>
      <c r="D39" s="7" t="n">
        <v>19.3</v>
      </c>
      <c r="E39" s="21" t="n">
        <v>2.62</v>
      </c>
    </row>
    <row r="40" customFormat="false" ht="15" hidden="false" customHeight="true" outlineLevel="0" collapsed="false">
      <c r="A40" s="7" t="s">
        <v>29</v>
      </c>
      <c r="B40" s="9" t="n">
        <v>270</v>
      </c>
      <c r="C40" s="7" t="n">
        <v>16</v>
      </c>
      <c r="D40" s="7" t="n">
        <v>19.3</v>
      </c>
      <c r="E40" s="21" t="n">
        <v>0.87</v>
      </c>
    </row>
    <row r="41" customFormat="false" ht="15" hidden="false" customHeight="true" outlineLevel="0" collapsed="false">
      <c r="A41" s="7" t="s">
        <v>30</v>
      </c>
      <c r="B41" s="9" t="n">
        <v>225</v>
      </c>
      <c r="C41" s="7" t="n">
        <v>16</v>
      </c>
      <c r="D41" s="7" t="n">
        <v>19.3</v>
      </c>
      <c r="E41" s="21" t="n">
        <v>0.73</v>
      </c>
    </row>
    <row r="42" customFormat="false" ht="15" hidden="false" customHeight="true" outlineLevel="0" collapsed="false">
      <c r="A42" s="7" t="s">
        <v>31</v>
      </c>
      <c r="B42" s="9" t="n">
        <v>135</v>
      </c>
      <c r="C42" s="7" t="n">
        <v>16</v>
      </c>
      <c r="D42" s="7" t="n">
        <v>19.3</v>
      </c>
      <c r="E42" s="21" t="n">
        <v>0.44</v>
      </c>
    </row>
    <row r="44" customFormat="false" ht="15" hidden="false" customHeight="true" outlineLevel="0" collapsed="false">
      <c r="A44" s="4" t="s">
        <v>47</v>
      </c>
      <c r="B44" s="4"/>
      <c r="C44" s="4"/>
      <c r="D44" s="4"/>
      <c r="E44" s="4"/>
      <c r="F44" s="4"/>
    </row>
    <row r="45" customFormat="false" ht="60" hidden="false" customHeight="true" outlineLevel="0" collapsed="false">
      <c r="A45" s="22" t="s">
        <v>48</v>
      </c>
      <c r="B45" s="22"/>
      <c r="C45" s="22"/>
      <c r="D45" s="22"/>
      <c r="E45" s="22"/>
      <c r="F45" s="22"/>
    </row>
    <row r="47" customFormat="false" ht="15" hidden="false" customHeight="true" outlineLevel="0" collapsed="false">
      <c r="A47" s="4" t="s">
        <v>49</v>
      </c>
      <c r="B47" s="4"/>
      <c r="C47" s="4"/>
      <c r="D47" s="4"/>
      <c r="E47" s="4"/>
      <c r="F47" s="4"/>
    </row>
    <row r="48" customFormat="false" ht="45" hidden="false" customHeight="true" outlineLevel="0" collapsed="false">
      <c r="A48" s="22" t="s">
        <v>50</v>
      </c>
      <c r="B48" s="22"/>
      <c r="C48" s="22"/>
      <c r="D48" s="22"/>
      <c r="E48" s="22"/>
      <c r="F48" s="22"/>
    </row>
    <row r="50" customFormat="false" ht="15" hidden="false" customHeight="true" outlineLevel="0" collapsed="false">
      <c r="A50" s="5" t="s">
        <v>51</v>
      </c>
    </row>
    <row r="51" customFormat="false" ht="15" hidden="false" customHeight="true" outlineLevel="0" collapsed="false">
      <c r="A51" s="1" t="s">
        <v>52</v>
      </c>
    </row>
    <row r="52" customFormat="false" ht="15" hidden="false" customHeight="true" outlineLevel="0" collapsed="false">
      <c r="A52" s="1" t="s">
        <v>53</v>
      </c>
      <c r="B52" s="23" t="n">
        <v>266400</v>
      </c>
    </row>
    <row r="53" customFormat="false" ht="15" hidden="false" customHeight="true" outlineLevel="0" collapsed="false">
      <c r="A53" s="1" t="s">
        <v>54</v>
      </c>
      <c r="B53" s="23" t="n">
        <v>360000</v>
      </c>
    </row>
    <row r="54" customFormat="false" ht="15" hidden="false" customHeight="true" outlineLevel="0" collapsed="false">
      <c r="A54" s="1" t="s">
        <v>55</v>
      </c>
      <c r="B54" s="23" t="n">
        <v>1332000</v>
      </c>
    </row>
    <row r="55" customFormat="false" ht="15" hidden="false" customHeight="true" outlineLevel="0" collapsed="false">
      <c r="A55" s="1" t="s">
        <v>56</v>
      </c>
      <c r="B55" s="23" t="n">
        <v>1800000</v>
      </c>
    </row>
    <row r="56" customFormat="false" ht="15" hidden="false" customHeight="true" outlineLevel="0" collapsed="false">
      <c r="A56" s="20" t="s">
        <v>57</v>
      </c>
    </row>
    <row r="58" customFormat="false" ht="15" hidden="false" customHeight="true" outlineLevel="0" collapsed="false">
      <c r="A58" s="5" t="s">
        <v>58</v>
      </c>
    </row>
    <row r="59" customFormat="false" ht="15" hidden="false" customHeight="true" outlineLevel="0" collapsed="false">
      <c r="A59" s="1" t="s">
        <v>59</v>
      </c>
      <c r="B59" s="23" t="n">
        <v>3844125</v>
      </c>
    </row>
    <row r="60" customFormat="false" ht="15" hidden="false" customHeight="true" outlineLevel="0" collapsed="false">
      <c r="A60" s="1" t="s">
        <v>60</v>
      </c>
      <c r="B60" s="23" t="n">
        <v>7326675</v>
      </c>
    </row>
    <row r="61" customFormat="false" ht="15" hidden="false" customHeight="true" outlineLevel="0" collapsed="false">
      <c r="A61" s="20" t="s">
        <v>61</v>
      </c>
    </row>
    <row r="63" customFormat="false" ht="15" hidden="false" customHeight="true" outlineLevel="0" collapsed="false">
      <c r="A63" s="5" t="s">
        <v>62</v>
      </c>
    </row>
    <row r="64" customFormat="false" ht="15" hidden="false" customHeight="true" outlineLevel="0" collapsed="false">
      <c r="A64" s="1" t="s">
        <v>63</v>
      </c>
      <c r="B64" s="23" t="n">
        <v>667440</v>
      </c>
    </row>
    <row r="65" customFormat="false" ht="15" hidden="false" customHeight="true" outlineLevel="0" collapsed="false">
      <c r="A65" s="20" t="s">
        <v>64</v>
      </c>
    </row>
    <row r="67" customFormat="false" ht="15" hidden="false" customHeight="true" outlineLevel="0" collapsed="false">
      <c r="A67" s="5" t="s">
        <v>65</v>
      </c>
    </row>
    <row r="68" customFormat="false" ht="15" hidden="false" customHeight="true" outlineLevel="0" collapsed="false">
      <c r="A68" s="1" t="s">
        <v>66</v>
      </c>
    </row>
    <row r="69" customFormat="false" ht="15" hidden="false" customHeight="true" outlineLevel="0" collapsed="false">
      <c r="A69" s="1" t="s">
        <v>67</v>
      </c>
    </row>
    <row r="71" customFormat="false" ht="15" hidden="false" customHeight="true" outlineLevel="0" collapsed="false">
      <c r="A71" s="5" t="s">
        <v>68</v>
      </c>
    </row>
    <row r="72" customFormat="false" ht="15" hidden="false" customHeight="true" outlineLevel="0" collapsed="false">
      <c r="A72" s="1" t="s">
        <v>69</v>
      </c>
      <c r="B72" s="23" t="n">
        <v>2178000</v>
      </c>
    </row>
    <row r="73" customFormat="false" ht="15" hidden="false" customHeight="true" outlineLevel="0" collapsed="false">
      <c r="A73" s="1" t="s">
        <v>70</v>
      </c>
      <c r="B73" s="23" t="n">
        <v>1476000</v>
      </c>
    </row>
    <row r="74" customFormat="false" ht="15" hidden="false" customHeight="true" outlineLevel="0" collapsed="false">
      <c r="A74" s="20" t="s">
        <v>71</v>
      </c>
    </row>
    <row r="76" customFormat="false" ht="15" hidden="false" customHeight="true" outlineLevel="0" collapsed="false">
      <c r="A76" s="20" t="s">
        <v>72</v>
      </c>
    </row>
    <row r="78" customFormat="false" ht="15" hidden="false" customHeight="true" outlineLevel="0" collapsed="false">
      <c r="A78" s="5" t="s">
        <v>73</v>
      </c>
    </row>
    <row r="79" customFormat="false" ht="15" hidden="false" customHeight="true" outlineLevel="0" collapsed="false">
      <c r="A79" s="1" t="s">
        <v>74</v>
      </c>
      <c r="B79" s="23" t="n">
        <v>1117080</v>
      </c>
    </row>
    <row r="80" customFormat="false" ht="15" hidden="false" customHeight="true" outlineLevel="0" collapsed="false">
      <c r="A80" s="1" t="s">
        <v>75</v>
      </c>
      <c r="B80" s="23" t="n">
        <v>1700000</v>
      </c>
    </row>
    <row r="81" customFormat="false" ht="15" hidden="false" customHeight="true" outlineLevel="0" collapsed="false">
      <c r="A81" s="1" t="s">
        <v>76</v>
      </c>
      <c r="B81" s="1" t="n">
        <v>52</v>
      </c>
    </row>
    <row r="82" customFormat="false" ht="15" hidden="false" customHeight="true" outlineLevel="0" collapsed="false">
      <c r="A82" s="1" t="s">
        <v>77</v>
      </c>
      <c r="B82" s="23" t="n">
        <v>2914600</v>
      </c>
    </row>
    <row r="83" customFormat="false" ht="15" hidden="false" customHeight="true" outlineLevel="0" collapsed="false">
      <c r="A83" s="1" t="s">
        <v>78</v>
      </c>
      <c r="B83" s="1" t="n">
        <v>3.3</v>
      </c>
    </row>
    <row r="84" customFormat="false" ht="15" hidden="false" customHeight="true" outlineLevel="0" collapsed="false">
      <c r="A84" s="20" t="s">
        <v>79</v>
      </c>
    </row>
  </sheetData>
  <mergeCells count="2">
    <mergeCell ref="A45:F45"/>
    <mergeCell ref="A48:F4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5"/>
    <col collapsed="false" customWidth="true" hidden="false" outlineLevel="0" max="2" min="2" style="1" width="18"/>
    <col collapsed="false" customWidth="true" hidden="false" outlineLevel="0" max="3" min="3" style="1" width="12"/>
    <col collapsed="false" customWidth="true" hidden="false" outlineLevel="0" max="6" min="4" style="1" width="14"/>
  </cols>
  <sheetData>
    <row r="1" customFormat="false" ht="17.25" hidden="false" customHeight="true" outlineLevel="0" collapsed="false">
      <c r="A1" s="2" t="s">
        <v>80</v>
      </c>
    </row>
    <row r="2" customFormat="false" ht="15" hidden="false" customHeight="true" outlineLevel="0" collapsed="false">
      <c r="A2" s="3" t="s">
        <v>81</v>
      </c>
    </row>
    <row r="4" customFormat="false" ht="15" hidden="false" customHeight="true" outlineLevel="0" collapsed="false">
      <c r="A4" s="4" t="s">
        <v>2</v>
      </c>
      <c r="B4" s="4"/>
    </row>
    <row r="5" customFormat="false" ht="15" hidden="false" customHeight="true" outlineLevel="0" collapsed="false">
      <c r="A5" s="5" t="s">
        <v>82</v>
      </c>
      <c r="B5" s="24" t="n">
        <v>4500</v>
      </c>
    </row>
    <row r="6" customFormat="false" ht="15" hidden="false" customHeight="true" outlineLevel="0" collapsed="false">
      <c r="A6" s="5" t="s">
        <v>83</v>
      </c>
      <c r="B6" s="24" t="n">
        <v>1</v>
      </c>
    </row>
    <row r="7" customFormat="false" ht="15" hidden="false" customHeight="true" outlineLevel="0" collapsed="false">
      <c r="A7" s="5" t="s">
        <v>84</v>
      </c>
      <c r="B7" s="24" t="n">
        <v>1</v>
      </c>
    </row>
    <row r="8" customFormat="false" ht="15" hidden="false" customHeight="true" outlineLevel="0" collapsed="false">
      <c r="A8" s="5" t="s">
        <v>85</v>
      </c>
      <c r="B8" s="24" t="n">
        <v>1</v>
      </c>
    </row>
    <row r="9" customFormat="false" ht="15" hidden="false" customHeight="true" outlineLevel="0" collapsed="false">
      <c r="A9" s="5" t="s">
        <v>44</v>
      </c>
      <c r="B9" s="24" t="n">
        <v>16</v>
      </c>
    </row>
    <row r="10" customFormat="false" ht="15" hidden="false" customHeight="true" outlineLevel="0" collapsed="false">
      <c r="A10" s="19" t="s">
        <v>86</v>
      </c>
      <c r="B10" s="13" t="n">
        <f aca="false">B5*B6*B7</f>
        <v>4500</v>
      </c>
    </row>
    <row r="12" customFormat="false" ht="15" hidden="false" customHeight="true" outlineLevel="0" collapsed="false">
      <c r="A12" s="4" t="s">
        <v>87</v>
      </c>
      <c r="B12" s="4"/>
    </row>
    <row r="13" customFormat="false" ht="15" hidden="false" customHeight="true" outlineLevel="0" collapsed="false">
      <c r="A13" s="5" t="s">
        <v>21</v>
      </c>
      <c r="B13" s="10" t="n">
        <v>1100</v>
      </c>
    </row>
    <row r="14" customFormat="false" ht="15" hidden="false" customHeight="true" outlineLevel="0" collapsed="false">
      <c r="A14" s="5" t="s">
        <v>23</v>
      </c>
      <c r="B14" s="10" t="n">
        <v>800</v>
      </c>
    </row>
    <row r="15" customFormat="false" ht="15" hidden="false" customHeight="true" outlineLevel="0" collapsed="false">
      <c r="A15" s="5" t="s">
        <v>27</v>
      </c>
      <c r="B15" s="10" t="n">
        <v>650</v>
      </c>
    </row>
    <row r="17" customFormat="false" ht="15" hidden="false" customHeight="true" outlineLevel="0" collapsed="false">
      <c r="A17" s="4" t="s">
        <v>13</v>
      </c>
      <c r="B17" s="4"/>
      <c r="C17" s="4"/>
      <c r="D17" s="4"/>
      <c r="E17" s="4"/>
      <c r="F17" s="4"/>
    </row>
    <row r="18" customFormat="false" ht="15" hidden="false" customHeight="true" outlineLevel="0" collapsed="false">
      <c r="A18" s="6" t="s">
        <v>14</v>
      </c>
      <c r="B18" s="6" t="s">
        <v>15</v>
      </c>
      <c r="C18" s="6" t="s">
        <v>16</v>
      </c>
      <c r="D18" s="6" t="s">
        <v>17</v>
      </c>
      <c r="E18" s="6" t="s">
        <v>18</v>
      </c>
      <c r="F18" s="6" t="s">
        <v>19</v>
      </c>
    </row>
    <row r="19" customFormat="false" ht="15" hidden="false" customHeight="true" outlineLevel="0" collapsed="false">
      <c r="A19" s="7" t="s">
        <v>20</v>
      </c>
      <c r="B19" s="8" t="n">
        <v>0.08</v>
      </c>
      <c r="C19" s="9" t="n">
        <f aca="false">B10*B19</f>
        <v>360</v>
      </c>
      <c r="D19" s="7" t="s">
        <v>21</v>
      </c>
      <c r="E19" s="10" t="n">
        <f aca="false">B13*B8</f>
        <v>1100</v>
      </c>
      <c r="F19" s="10" t="n">
        <f aca="false">C19*E19</f>
        <v>396000</v>
      </c>
    </row>
    <row r="20" customFormat="false" ht="15" hidden="false" customHeight="true" outlineLevel="0" collapsed="false">
      <c r="A20" s="7" t="s">
        <v>22</v>
      </c>
      <c r="B20" s="8" t="n">
        <v>0.07</v>
      </c>
      <c r="C20" s="9" t="n">
        <f aca="false">B10*B20</f>
        <v>315</v>
      </c>
      <c r="D20" s="7" t="s">
        <v>23</v>
      </c>
      <c r="E20" s="10" t="n">
        <f aca="false">B14*B8</f>
        <v>800</v>
      </c>
      <c r="F20" s="10" t="n">
        <f aca="false">C20*E20</f>
        <v>252000</v>
      </c>
    </row>
    <row r="21" customFormat="false" ht="15" hidden="false" customHeight="true" outlineLevel="0" collapsed="false">
      <c r="A21" s="7" t="s">
        <v>24</v>
      </c>
      <c r="B21" s="8" t="n">
        <v>0.08</v>
      </c>
      <c r="C21" s="9" t="n">
        <f aca="false">B10*B21</f>
        <v>360</v>
      </c>
      <c r="D21" s="7" t="s">
        <v>21</v>
      </c>
      <c r="E21" s="10" t="n">
        <f aca="false">B13*B8</f>
        <v>1100</v>
      </c>
      <c r="F21" s="10" t="n">
        <f aca="false">C21*E21</f>
        <v>396000</v>
      </c>
    </row>
    <row r="22" customFormat="false" ht="15" hidden="false" customHeight="true" outlineLevel="0" collapsed="false">
      <c r="A22" s="7" t="s">
        <v>25</v>
      </c>
      <c r="B22" s="8" t="n">
        <v>0.3</v>
      </c>
      <c r="C22" s="9" t="n">
        <f aca="false">B10*B22</f>
        <v>1350</v>
      </c>
      <c r="D22" s="7" t="s">
        <v>23</v>
      </c>
      <c r="E22" s="10" t="n">
        <f aca="false">B14*B8</f>
        <v>800</v>
      </c>
      <c r="F22" s="10" t="n">
        <f aca="false">C22*E22</f>
        <v>1080000</v>
      </c>
    </row>
    <row r="23" customFormat="false" ht="15" hidden="false" customHeight="true" outlineLevel="0" collapsed="false">
      <c r="A23" s="7" t="s">
        <v>26</v>
      </c>
      <c r="B23" s="8" t="n">
        <v>0.15</v>
      </c>
      <c r="C23" s="9" t="n">
        <f aca="false">B10*B23</f>
        <v>675</v>
      </c>
      <c r="D23" s="7" t="s">
        <v>27</v>
      </c>
      <c r="E23" s="10" t="n">
        <f aca="false">B15*B8</f>
        <v>650</v>
      </c>
      <c r="F23" s="10" t="n">
        <f aca="false">C23*E23</f>
        <v>438750</v>
      </c>
    </row>
    <row r="24" customFormat="false" ht="15" hidden="false" customHeight="true" outlineLevel="0" collapsed="false">
      <c r="A24" s="7" t="s">
        <v>28</v>
      </c>
      <c r="B24" s="8" t="n">
        <v>0.18</v>
      </c>
      <c r="C24" s="9" t="n">
        <f aca="false">B10*B24</f>
        <v>810</v>
      </c>
      <c r="D24" s="7" t="s">
        <v>23</v>
      </c>
      <c r="E24" s="10" t="n">
        <f aca="false">B14*B8</f>
        <v>800</v>
      </c>
      <c r="F24" s="10" t="n">
        <f aca="false">C24*E24</f>
        <v>648000</v>
      </c>
    </row>
    <row r="25" customFormat="false" ht="15" hidden="false" customHeight="true" outlineLevel="0" collapsed="false">
      <c r="A25" s="7" t="s">
        <v>29</v>
      </c>
      <c r="B25" s="8" t="n">
        <v>0.06</v>
      </c>
      <c r="C25" s="9" t="n">
        <f aca="false">B10*B25</f>
        <v>270</v>
      </c>
      <c r="D25" s="7" t="s">
        <v>27</v>
      </c>
      <c r="E25" s="10" t="n">
        <f aca="false">B15*B8</f>
        <v>650</v>
      </c>
      <c r="F25" s="10" t="n">
        <f aca="false">C25*E25</f>
        <v>175500</v>
      </c>
    </row>
    <row r="26" customFormat="false" ht="15" hidden="false" customHeight="true" outlineLevel="0" collapsed="false">
      <c r="A26" s="7" t="s">
        <v>30</v>
      </c>
      <c r="B26" s="8" t="n">
        <v>0.05</v>
      </c>
      <c r="C26" s="9" t="n">
        <f aca="false">B10*B26</f>
        <v>225</v>
      </c>
      <c r="D26" s="7" t="s">
        <v>23</v>
      </c>
      <c r="E26" s="10" t="n">
        <f aca="false">B14*B8</f>
        <v>800</v>
      </c>
      <c r="F26" s="10" t="n">
        <f aca="false">C26*E26</f>
        <v>180000</v>
      </c>
    </row>
    <row r="27" customFormat="false" ht="15" hidden="false" customHeight="true" outlineLevel="0" collapsed="false">
      <c r="A27" s="7" t="s">
        <v>31</v>
      </c>
      <c r="B27" s="8" t="n">
        <v>0.03</v>
      </c>
      <c r="C27" s="9" t="n">
        <f aca="false">B10*B27</f>
        <v>135</v>
      </c>
      <c r="D27" s="7" t="s">
        <v>27</v>
      </c>
      <c r="E27" s="10" t="n">
        <f aca="false">B15*B8</f>
        <v>650</v>
      </c>
      <c r="F27" s="10" t="n">
        <f aca="false">C27*E27</f>
        <v>87750</v>
      </c>
    </row>
    <row r="28" customFormat="false" ht="15" hidden="false" customHeight="true" outlineLevel="0" collapsed="false">
      <c r="A28" s="11" t="s">
        <v>32</v>
      </c>
      <c r="B28" s="12" t="n">
        <f aca="false">SUM(B19:B27)</f>
        <v>1</v>
      </c>
      <c r="C28" s="13" t="n">
        <f aca="false">SUM(C19:C27)</f>
        <v>4500</v>
      </c>
      <c r="D28" s="14" t="s">
        <v>33</v>
      </c>
      <c r="E28" s="14" t="s">
        <v>33</v>
      </c>
      <c r="F28" s="15" t="n">
        <f aca="false">SUM(F19:F27)</f>
        <v>3654000</v>
      </c>
    </row>
    <row r="29" customFormat="false" ht="15" hidden="false" customHeight="true" outlineLevel="0" collapsed="false">
      <c r="A29" s="11" t="s">
        <v>34</v>
      </c>
      <c r="B29" s="14"/>
      <c r="C29" s="14"/>
      <c r="D29" s="14"/>
      <c r="E29" s="14"/>
      <c r="F29" s="15" t="n">
        <f aca="false">F28*0.1</f>
        <v>365400</v>
      </c>
    </row>
    <row r="30" customFormat="false" ht="15" hidden="false" customHeight="true" outlineLevel="0" collapsed="false">
      <c r="A30" s="16" t="s">
        <v>35</v>
      </c>
      <c r="B30" s="16"/>
      <c r="C30" s="16"/>
      <c r="D30" s="16"/>
      <c r="E30" s="16"/>
      <c r="F30" s="17" t="n">
        <f aca="false">F28+F29</f>
        <v>4019400</v>
      </c>
    </row>
    <row r="32" customFormat="false" ht="15" hidden="false" customHeight="true" outlineLevel="0" collapsed="false">
      <c r="A32" s="4" t="s">
        <v>36</v>
      </c>
      <c r="B32" s="4"/>
    </row>
    <row r="33" customFormat="false" ht="15" hidden="false" customHeight="true" outlineLevel="0" collapsed="false">
      <c r="A33" s="5" t="s">
        <v>37</v>
      </c>
      <c r="B33" s="18" t="n">
        <f aca="false">F30*0.625</f>
        <v>2512125</v>
      </c>
    </row>
    <row r="34" customFormat="false" ht="15" hidden="false" customHeight="true" outlineLevel="0" collapsed="false">
      <c r="A34" s="5" t="s">
        <v>38</v>
      </c>
      <c r="B34" s="18" t="n">
        <f aca="false">F30</f>
        <v>4019400</v>
      </c>
    </row>
    <row r="35" customFormat="false" ht="15" hidden="false" customHeight="true" outlineLevel="0" collapsed="false">
      <c r="A35" s="5" t="s">
        <v>39</v>
      </c>
      <c r="B35" s="18" t="n">
        <f aca="false">F30*1.375</f>
        <v>5526675</v>
      </c>
    </row>
    <row r="36" customFormat="false" ht="15" hidden="false" customHeight="true" outlineLevel="0" collapsed="false">
      <c r="A36" s="20" t="s">
        <v>88</v>
      </c>
    </row>
    <row r="37" customFormat="false" ht="15" hidden="false" customHeight="true" outlineLevel="0" collapsed="false">
      <c r="A37" s="4" t="s">
        <v>43</v>
      </c>
      <c r="B37" s="4"/>
      <c r="C37" s="4"/>
      <c r="D37" s="4"/>
      <c r="E37" s="4"/>
    </row>
    <row r="38" customFormat="false" ht="15" hidden="false" customHeight="true" outlineLevel="0" collapsed="false">
      <c r="A38" s="6" t="s">
        <v>14</v>
      </c>
      <c r="B38" s="6" t="s">
        <v>16</v>
      </c>
      <c r="C38" s="6" t="s">
        <v>44</v>
      </c>
      <c r="D38" s="6" t="s">
        <v>45</v>
      </c>
      <c r="E38" s="6" t="s">
        <v>46</v>
      </c>
    </row>
    <row r="39" customFormat="false" ht="15" hidden="false" customHeight="true" outlineLevel="0" collapsed="false">
      <c r="A39" s="7" t="s">
        <v>20</v>
      </c>
      <c r="B39" s="9" t="n">
        <f aca="false">C19</f>
        <v>360</v>
      </c>
      <c r="C39" s="7" t="n">
        <f aca="false">B9</f>
        <v>16</v>
      </c>
      <c r="D39" s="7" t="n">
        <v>19.3</v>
      </c>
      <c r="E39" s="21" t="n">
        <f aca="false">B39/(C39*D39)</f>
        <v>1.16580310880829</v>
      </c>
    </row>
    <row r="40" customFormat="false" ht="15" hidden="false" customHeight="true" outlineLevel="0" collapsed="false">
      <c r="A40" s="7" t="s">
        <v>22</v>
      </c>
      <c r="B40" s="9" t="n">
        <f aca="false">C20</f>
        <v>315</v>
      </c>
      <c r="C40" s="7" t="n">
        <f aca="false">B9</f>
        <v>16</v>
      </c>
      <c r="D40" s="7" t="n">
        <v>19.3</v>
      </c>
      <c r="E40" s="21" t="n">
        <f aca="false">B40/(C40*D40)</f>
        <v>1.02007772020725</v>
      </c>
    </row>
    <row r="41" customFormat="false" ht="15" hidden="false" customHeight="true" outlineLevel="0" collapsed="false">
      <c r="A41" s="7" t="s">
        <v>24</v>
      </c>
      <c r="B41" s="9" t="n">
        <f aca="false">C21</f>
        <v>360</v>
      </c>
      <c r="C41" s="7" t="n">
        <f aca="false">B9</f>
        <v>16</v>
      </c>
      <c r="D41" s="7" t="n">
        <v>19.3</v>
      </c>
      <c r="E41" s="21" t="n">
        <f aca="false">B41/(C41*D41)</f>
        <v>1.16580310880829</v>
      </c>
    </row>
    <row r="42" customFormat="false" ht="15" hidden="false" customHeight="true" outlineLevel="0" collapsed="false">
      <c r="A42" s="7" t="s">
        <v>25</v>
      </c>
      <c r="B42" s="9" t="n">
        <f aca="false">C22</f>
        <v>1350</v>
      </c>
      <c r="C42" s="7" t="n">
        <f aca="false">B9</f>
        <v>16</v>
      </c>
      <c r="D42" s="7" t="n">
        <v>19.3</v>
      </c>
      <c r="E42" s="21" t="n">
        <f aca="false">B42/(C42*D42)</f>
        <v>4.37176165803109</v>
      </c>
    </row>
    <row r="43" customFormat="false" ht="15" hidden="false" customHeight="true" outlineLevel="0" collapsed="false">
      <c r="A43" s="7" t="s">
        <v>26</v>
      </c>
      <c r="B43" s="9" t="n">
        <f aca="false">C23</f>
        <v>675</v>
      </c>
      <c r="C43" s="7" t="n">
        <f aca="false">B9</f>
        <v>16</v>
      </c>
      <c r="D43" s="7" t="n">
        <v>19.3</v>
      </c>
      <c r="E43" s="21" t="n">
        <f aca="false">B43/(C43*D43)</f>
        <v>2.18588082901554</v>
      </c>
    </row>
    <row r="44" customFormat="false" ht="15" hidden="false" customHeight="true" outlineLevel="0" collapsed="false">
      <c r="A44" s="7" t="s">
        <v>28</v>
      </c>
      <c r="B44" s="9" t="n">
        <f aca="false">C24</f>
        <v>810</v>
      </c>
      <c r="C44" s="7" t="n">
        <f aca="false">B9</f>
        <v>16</v>
      </c>
      <c r="D44" s="7" t="n">
        <v>19.3</v>
      </c>
      <c r="E44" s="21" t="n">
        <f aca="false">B44/(C44*D44)</f>
        <v>2.62305699481865</v>
      </c>
    </row>
    <row r="45" customFormat="false" ht="15" hidden="false" customHeight="true" outlineLevel="0" collapsed="false">
      <c r="A45" s="7" t="s">
        <v>29</v>
      </c>
      <c r="B45" s="9" t="n">
        <f aca="false">C25</f>
        <v>270</v>
      </c>
      <c r="C45" s="7" t="n">
        <f aca="false">B9</f>
        <v>16</v>
      </c>
      <c r="D45" s="7" t="n">
        <v>19.3</v>
      </c>
      <c r="E45" s="21" t="n">
        <f aca="false">B45/(C45*D45)</f>
        <v>0.874352331606218</v>
      </c>
    </row>
    <row r="46" customFormat="false" ht="15" hidden="false" customHeight="true" outlineLevel="0" collapsed="false">
      <c r="A46" s="7" t="s">
        <v>30</v>
      </c>
      <c r="B46" s="9" t="n">
        <f aca="false">C26</f>
        <v>225</v>
      </c>
      <c r="C46" s="7" t="n">
        <f aca="false">B9</f>
        <v>16</v>
      </c>
      <c r="D46" s="7" t="n">
        <v>19.3</v>
      </c>
      <c r="E46" s="21" t="n">
        <f aca="false">B46/(C46*D46)</f>
        <v>0.728626943005181</v>
      </c>
    </row>
    <row r="47" customFormat="false" ht="15" hidden="false" customHeight="true" outlineLevel="0" collapsed="false">
      <c r="A47" s="7" t="s">
        <v>31</v>
      </c>
      <c r="B47" s="9" t="n">
        <f aca="false">C27</f>
        <v>135</v>
      </c>
      <c r="C47" s="7" t="n">
        <f aca="false">B9</f>
        <v>16</v>
      </c>
      <c r="D47" s="7" t="n">
        <v>19.3</v>
      </c>
      <c r="E47" s="21" t="n">
        <f aca="false">B47/(C47*D47)</f>
        <v>0.437176165803109</v>
      </c>
    </row>
    <row r="49" customFormat="false" ht="15" hidden="false" customHeight="true" outlineLevel="0" collapsed="false">
      <c r="A49" s="4" t="s">
        <v>47</v>
      </c>
      <c r="B49" s="4"/>
      <c r="C49" s="4"/>
      <c r="D49" s="4"/>
      <c r="E49" s="4"/>
      <c r="F49" s="4"/>
    </row>
    <row r="50" customFormat="false" ht="60" hidden="false" customHeight="true" outlineLevel="0" collapsed="false">
      <c r="A50" s="22" t="s">
        <v>48</v>
      </c>
      <c r="B50" s="22"/>
      <c r="C50" s="22"/>
      <c r="D50" s="22"/>
      <c r="E50" s="22"/>
      <c r="F50" s="22"/>
    </row>
    <row r="52" customFormat="false" ht="15" hidden="false" customHeight="true" outlineLevel="0" collapsed="false">
      <c r="A52" s="4" t="s">
        <v>49</v>
      </c>
      <c r="B52" s="4"/>
      <c r="C52" s="4"/>
      <c r="D52" s="4"/>
      <c r="E52" s="4"/>
      <c r="F52" s="4"/>
    </row>
    <row r="53" customFormat="false" ht="45" hidden="false" customHeight="true" outlineLevel="0" collapsed="false">
      <c r="A53" s="22" t="s">
        <v>50</v>
      </c>
      <c r="B53" s="22"/>
      <c r="C53" s="22"/>
      <c r="D53" s="22"/>
      <c r="E53" s="22"/>
      <c r="F53" s="22"/>
    </row>
    <row r="55" customFormat="false" ht="15" hidden="false" customHeight="true" outlineLevel="0" collapsed="false">
      <c r="A55" s="5" t="s">
        <v>89</v>
      </c>
    </row>
    <row r="56" customFormat="false" ht="15" hidden="false" customHeight="true" outlineLevel="0" collapsed="false">
      <c r="A56" s="1" t="s">
        <v>90</v>
      </c>
      <c r="B56" s="25" t="n">
        <v>600</v>
      </c>
    </row>
    <row r="57" customFormat="false" ht="15" hidden="false" customHeight="true" outlineLevel="0" collapsed="false">
      <c r="A57" s="1" t="s">
        <v>91</v>
      </c>
      <c r="B57" s="26" t="n">
        <v>0.25</v>
      </c>
    </row>
    <row r="58" customFormat="false" ht="15" hidden="false" customHeight="true" outlineLevel="0" collapsed="false">
      <c r="A58" s="1" t="s">
        <v>92</v>
      </c>
      <c r="B58" s="25" t="n">
        <v>130</v>
      </c>
    </row>
    <row r="59" customFormat="false" ht="15" hidden="false" customHeight="true" outlineLevel="0" collapsed="false">
      <c r="A59" s="1" t="s">
        <v>93</v>
      </c>
      <c r="B59" s="25" t="n">
        <v>170</v>
      </c>
    </row>
    <row r="60" customFormat="false" ht="15" hidden="false" customHeight="true" outlineLevel="0" collapsed="false">
      <c r="A60" s="1" t="s">
        <v>94</v>
      </c>
      <c r="B60" s="25" t="n">
        <v>6</v>
      </c>
    </row>
    <row r="61" customFormat="false" ht="15" hidden="false" customHeight="true" outlineLevel="0" collapsed="false">
      <c r="A61" s="1" t="s">
        <v>95</v>
      </c>
      <c r="B61" s="25" t="n">
        <v>10</v>
      </c>
    </row>
    <row r="62" customFormat="false" ht="15" hidden="false" customHeight="true" outlineLevel="0" collapsed="false">
      <c r="A62" s="20" t="s">
        <v>96</v>
      </c>
    </row>
    <row r="63" customFormat="false" ht="15" hidden="false" customHeight="true" outlineLevel="0" collapsed="false">
      <c r="A63" s="1" t="s">
        <v>97</v>
      </c>
      <c r="B63" s="23" t="n">
        <f aca="false">(B56*B57*B58+B56*(1-B57)*B60)*12</f>
        <v>266400</v>
      </c>
    </row>
    <row r="64" customFormat="false" ht="15" hidden="false" customHeight="true" outlineLevel="0" collapsed="false">
      <c r="A64" s="1" t="s">
        <v>98</v>
      </c>
      <c r="B64" s="23" t="n">
        <f aca="false">(B56*B57*B59+B56*(1-B57)*B61)*12</f>
        <v>360000</v>
      </c>
    </row>
    <row r="65" customFormat="false" ht="15" hidden="false" customHeight="true" outlineLevel="0" collapsed="false">
      <c r="A65" s="1" t="s">
        <v>99</v>
      </c>
      <c r="B65" s="23" t="n">
        <f aca="false">B63*5</f>
        <v>1332000</v>
      </c>
    </row>
    <row r="66" customFormat="false" ht="15" hidden="false" customHeight="true" outlineLevel="0" collapsed="false">
      <c r="A66" s="1" t="s">
        <v>100</v>
      </c>
      <c r="B66" s="23" t="n">
        <f aca="false">B64*5</f>
        <v>1800000</v>
      </c>
    </row>
    <row r="68" customFormat="false" ht="15" hidden="false" customHeight="true" outlineLevel="0" collapsed="false">
      <c r="A68" s="5" t="s">
        <v>58</v>
      </c>
    </row>
    <row r="69" customFormat="false" ht="15" hidden="false" customHeight="true" outlineLevel="0" collapsed="false">
      <c r="A69" s="1" t="s">
        <v>101</v>
      </c>
      <c r="B69" s="23" t="n">
        <f aca="false">B33+B65</f>
        <v>3844125</v>
      </c>
    </row>
    <row r="70" customFormat="false" ht="15" hidden="false" customHeight="true" outlineLevel="0" collapsed="false">
      <c r="A70" s="1" t="s">
        <v>102</v>
      </c>
      <c r="B70" s="23" t="n">
        <f aca="false">B35+B66</f>
        <v>7326675</v>
      </c>
    </row>
    <row r="71" customFormat="false" ht="15" hidden="false" customHeight="true" outlineLevel="0" collapsed="false">
      <c r="A71" s="20" t="s">
        <v>103</v>
      </c>
    </row>
    <row r="73" customFormat="false" ht="15" hidden="false" customHeight="true" outlineLevel="0" collapsed="false">
      <c r="A73" s="5" t="s">
        <v>104</v>
      </c>
    </row>
    <row r="74" customFormat="false" ht="15" hidden="false" customHeight="true" outlineLevel="0" collapsed="false">
      <c r="A74" s="1" t="s">
        <v>105</v>
      </c>
      <c r="B74" s="25" t="n">
        <f aca="false">B105</f>
        <v>4.8</v>
      </c>
    </row>
    <row r="75" customFormat="false" ht="15" hidden="false" customHeight="true" outlineLevel="0" collapsed="false">
      <c r="A75" s="1" t="s">
        <v>106</v>
      </c>
      <c r="B75" s="25" t="n">
        <v>450</v>
      </c>
    </row>
    <row r="76" customFormat="false" ht="15" hidden="false" customHeight="true" outlineLevel="0" collapsed="false">
      <c r="A76" s="1" t="s">
        <v>107</v>
      </c>
      <c r="B76" s="1" t="n">
        <f aca="false">ROUND(B9*19.3,0)</f>
        <v>309</v>
      </c>
    </row>
    <row r="77" customFormat="false" ht="15" hidden="false" customHeight="true" outlineLevel="0" collapsed="false">
      <c r="A77" s="1" t="s">
        <v>108</v>
      </c>
      <c r="B77" s="23" t="n">
        <f aca="false">B74*B75*B76</f>
        <v>667440</v>
      </c>
    </row>
    <row r="78" customFormat="false" ht="15" hidden="false" customHeight="true" outlineLevel="0" collapsed="false">
      <c r="A78" s="20" t="s">
        <v>109</v>
      </c>
    </row>
    <row r="80" customFormat="false" ht="15" hidden="false" customHeight="true" outlineLevel="0" collapsed="false">
      <c r="A80" s="5" t="s">
        <v>65</v>
      </c>
    </row>
    <row r="81" customFormat="false" ht="15" hidden="false" customHeight="true" outlineLevel="0" collapsed="false">
      <c r="A81" s="1" t="s">
        <v>110</v>
      </c>
    </row>
    <row r="83" customFormat="false" ht="15" hidden="false" customHeight="true" outlineLevel="0" collapsed="false">
      <c r="A83" s="5" t="s">
        <v>111</v>
      </c>
    </row>
    <row r="84" customFormat="false" ht="15" hidden="false" customHeight="true" outlineLevel="0" collapsed="false">
      <c r="A84" s="1" t="s">
        <v>69</v>
      </c>
      <c r="B84" s="23" t="n">
        <f aca="false">F21+F22+F23+F25+F27</f>
        <v>2178000</v>
      </c>
    </row>
    <row r="85" customFormat="false" ht="15" hidden="false" customHeight="true" outlineLevel="0" collapsed="false">
      <c r="A85" s="1" t="s">
        <v>70</v>
      </c>
      <c r="B85" s="23" t="n">
        <f aca="false">F19+F20+F24+F26</f>
        <v>1476000</v>
      </c>
    </row>
    <row r="86" customFormat="false" ht="15" hidden="false" customHeight="true" outlineLevel="0" collapsed="false">
      <c r="A86" s="20" t="s">
        <v>71</v>
      </c>
    </row>
    <row r="88" customFormat="false" ht="15" hidden="false" customHeight="true" outlineLevel="0" collapsed="false">
      <c r="A88" s="20" t="s">
        <v>112</v>
      </c>
    </row>
    <row r="90" customFormat="false" ht="15" hidden="false" customHeight="true" outlineLevel="0" collapsed="false">
      <c r="A90" s="5" t="s">
        <v>73</v>
      </c>
    </row>
    <row r="91" customFormat="false" ht="15" hidden="false" customHeight="true" outlineLevel="0" collapsed="false">
      <c r="A91" s="1" t="s">
        <v>113</v>
      </c>
      <c r="B91" s="23" t="n">
        <f aca="false">(B69+B70)/2</f>
        <v>5585400</v>
      </c>
    </row>
    <row r="92" customFormat="false" ht="15" hidden="false" customHeight="true" outlineLevel="0" collapsed="false">
      <c r="A92" s="1" t="s">
        <v>114</v>
      </c>
      <c r="B92" s="23" t="n">
        <f aca="false">ROUND(B91/5,0)</f>
        <v>1117080</v>
      </c>
    </row>
    <row r="93" customFormat="false" ht="15" hidden="false" customHeight="true" outlineLevel="0" collapsed="false">
      <c r="A93" s="1" t="s">
        <v>115</v>
      </c>
      <c r="B93" s="27"/>
      <c r="C93" s="1" t="s">
        <v>116</v>
      </c>
    </row>
    <row r="94" customFormat="false" ht="15" hidden="false" customHeight="true" outlineLevel="0" collapsed="false">
      <c r="A94" s="1" t="s">
        <v>117</v>
      </c>
      <c r="B94" s="28" t="str">
        <f aca="false">IF(B93="","",ROUND((B93*5-B91)/B91*100,0))</f>
        <v/>
      </c>
    </row>
    <row r="95" customFormat="false" ht="15" hidden="false" customHeight="true" outlineLevel="0" collapsed="false">
      <c r="A95" s="1" t="s">
        <v>118</v>
      </c>
      <c r="B95" s="23" t="str">
        <f aca="false">IF(B93="","",B93*5-B91)</f>
        <v/>
      </c>
    </row>
    <row r="96" customFormat="false" ht="15" hidden="false" customHeight="true" outlineLevel="0" collapsed="false">
      <c r="A96" s="1" t="s">
        <v>119</v>
      </c>
      <c r="B96" s="29" t="str">
        <f aca="false">IF(OR(B93="",B93=0),"",B91/B93)</f>
        <v/>
      </c>
    </row>
    <row r="97" customFormat="false" ht="15" hidden="false" customHeight="true" outlineLevel="0" collapsed="false">
      <c r="A97" s="20" t="s">
        <v>120</v>
      </c>
    </row>
    <row r="99" customFormat="false" ht="15" hidden="false" customHeight="true" outlineLevel="0" collapsed="false">
      <c r="A99" s="5" t="s">
        <v>121</v>
      </c>
    </row>
    <row r="100" customFormat="false" ht="15" hidden="false" customHeight="true" outlineLevel="0" collapsed="false">
      <c r="A100" s="1" t="s">
        <v>122</v>
      </c>
      <c r="B100" s="25" t="n">
        <v>6</v>
      </c>
    </row>
    <row r="101" customFormat="false" ht="15" hidden="false" customHeight="true" outlineLevel="0" collapsed="false">
      <c r="A101" s="1" t="s">
        <v>123</v>
      </c>
      <c r="B101" s="25" t="n">
        <v>0.4</v>
      </c>
    </row>
    <row r="102" customFormat="false" ht="15" hidden="false" customHeight="true" outlineLevel="0" collapsed="false">
      <c r="A102" s="1" t="s">
        <v>124</v>
      </c>
      <c r="B102" s="25" t="n">
        <v>7</v>
      </c>
    </row>
    <row r="103" customFormat="false" ht="15" hidden="false" customHeight="true" outlineLevel="0" collapsed="false">
      <c r="A103" s="1" t="s">
        <v>125</v>
      </c>
      <c r="B103" s="25" t="n">
        <v>0.2</v>
      </c>
    </row>
    <row r="104" customFormat="false" ht="15" hidden="false" customHeight="true" outlineLevel="0" collapsed="false">
      <c r="A104" s="1" t="s">
        <v>126</v>
      </c>
      <c r="B104" s="25" t="n">
        <v>1</v>
      </c>
    </row>
    <row r="105" customFormat="false" ht="15" hidden="false" customHeight="true" outlineLevel="0" collapsed="false">
      <c r="A105" s="1" t="s">
        <v>127</v>
      </c>
      <c r="B105" s="1" t="n">
        <f aca="false">ROUND(B100*B101+B102*B103+B104,1)</f>
        <v>4.8</v>
      </c>
    </row>
    <row r="106" customFormat="false" ht="15" hidden="false" customHeight="true" outlineLevel="0" collapsed="false">
      <c r="A106" s="1" t="s">
        <v>128</v>
      </c>
      <c r="B106" s="25" t="s">
        <v>129</v>
      </c>
    </row>
    <row r="107" customFormat="false" ht="15" hidden="false" customHeight="true" outlineLevel="0" collapsed="false">
      <c r="A107" s="1" t="s">
        <v>130</v>
      </c>
      <c r="B107" s="1" t="str">
        <f aca="false">IF(B106="Absorbed internally","~"&amp;B74&amp;" FTE of day jobs carried alongside the programme with no cover — a delivery risk, not a saving; the board accepts it explicitly","Backfill priced at the FTE above goes into the funding ask as its own line — outside the envelope and the 5-year figure")</f>
        <v>Backfill priced at the FTE above goes into the funding ask as its own line — outside the envelope and the 5-year figure</v>
      </c>
    </row>
    <row r="109" customFormat="false" ht="15" hidden="false" customHeight="true" outlineLevel="0" collapsed="false">
      <c r="A109" s="1" t="s">
        <v>131</v>
      </c>
    </row>
    <row r="110" customFormat="false" ht="15" hidden="false" customHeight="true" outlineLevel="0" collapsed="false">
      <c r="A110" s="1" t="s">
        <v>132</v>
      </c>
    </row>
    <row r="111" customFormat="false" ht="15" hidden="false" customHeight="true" outlineLevel="0" collapsed="false">
      <c r="A111" s="1" t="s">
        <v>133</v>
      </c>
    </row>
  </sheetData>
  <mergeCells count="2">
    <mergeCell ref="A50:F50"/>
    <mergeCell ref="A53:F5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2026-05-13T15:15:04Z</dcterms:created>
  <dc:creator>openpyxl</dc:creator>
  <dc:description/>
  <dc:language>en-US</dc:language>
  <cp:lastModifiedBy/>
  <dcterms:modified xsi:type="dcterms:W3CDTF">2026-07-08T22:21:33Z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